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1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<sst xmlns="http://schemas.openxmlformats.org/spreadsheetml/2006/main" count="181" uniqueCount="153">
  <si>
    <t xml:space="preserve">סך עמלות ברוקראז לצדדים שאינם קשורים </t>
  </si>
  <si>
    <t xml:space="preserve">סך עמלות ברוקראז לצדדים  קשורים </t>
  </si>
  <si>
    <t xml:space="preserve">סך עמלות קסטודיאן לצדדים קשורים </t>
  </si>
  <si>
    <t xml:space="preserve">סך עמלות קסטודיאן לצדדים שאינם קשורים </t>
  </si>
  <si>
    <t>סך תשלומים למנהלי תיקים ישראליים</t>
  </si>
  <si>
    <t>סך הכול הוצאות ישירות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</si>
  <si>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</si>
  <si>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</si>
  <si>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</si>
  <si>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</si>
  <si>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</si>
  <si>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</si>
  <si>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</si>
  <si>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</si>
  <si>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תשלום בגין השקעה בקרן נאמנות</t>
  </si>
  <si>
    <t>סך הכול עמלות ניהול חיצוני</t>
  </si>
  <si>
    <t>הבנק הבינלאומי הראשון לישראל בע"מ</t>
  </si>
  <si>
    <t>נספח 3 - פירוט עמלות ווניהול חיצוני לתקופה :</t>
  </si>
  <si>
    <t>נספח 2 - פירוט עמלות והוצאות לתקופה :</t>
  </si>
  <si>
    <t>נספח 1 - סך התשלומים ששולמו בגין כל סוג של הוצאה ישירה לתקופה :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</si>
  <si>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</si>
  <si>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</si>
  <si>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</si>
  <si>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</si>
  <si>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</si>
  <si>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א. קרן נאמנות ישראלית :</t>
  </si>
  <si>
    <t>ב. קרן חוץ :</t>
  </si>
  <si>
    <t>סך הוצאות הנובעות מהשקעה בניירות ערך לא סחירים וממתן הלוואה</t>
  </si>
  <si>
    <t>סך התשלומים הנובעים מהשקעה בקרנות השקעה</t>
  </si>
  <si>
    <t>כללי</t>
  </si>
  <si>
    <t>הלכתי</t>
  </si>
  <si>
    <t>סה"כ</t>
  </si>
  <si>
    <t>קרן השתלמות למורים בביה"ס העל יסודים במכללות ובסמינרים</t>
  </si>
  <si>
    <t>ללא מניות</t>
  </si>
  <si>
    <t>קרן השקעה  sphera במניות יתר (עגור)</t>
  </si>
  <si>
    <t>סך הכל נכסים לסוף תקופה קודמת</t>
  </si>
  <si>
    <t>סה"כ עמלות קניה ומכירה</t>
  </si>
  <si>
    <t>סה"כ עמלות קסטודיאן</t>
  </si>
  <si>
    <t>סה"כ 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</si>
  <si>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</si>
  <si>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</si>
  <si>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</si>
  <si>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</si>
  <si>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>סך תשלום הנובע מהשקעה בקרנות  השקעה בישראל</t>
  </si>
  <si>
    <t>סך תשלום הנובע מהשקעה בקרנות  השקעה בחול</t>
  </si>
  <si>
    <t>תשלום בגין השקעה בקרן נאמנות בישראל</t>
  </si>
  <si>
    <t>תשלום בגין השקעה בקרן נאמנות בחול</t>
  </si>
  <si>
    <t>סך הכל עמלות בגין תשלום השקעה בתעודת סל בישראל</t>
  </si>
  <si>
    <t>סך הכל עמלות בגין תשלום השקעה בתעודת סל בחול</t>
  </si>
  <si>
    <t>סה"כ הוצאות אחרות</t>
  </si>
  <si>
    <t>סך הוצאות בעד ניהול תביעות</t>
  </si>
  <si>
    <t>סך הוצאות בעד מתן משכנתאות</t>
  </si>
  <si>
    <t>שיעור סך ההוצאות הישירות, שההוצאה בגינן מוגבלת לשיעור של 0.25% לפי התקנות (באחוזים) (סיכום סעיפים 3א,4, 5ב חלקי סך נכסים)</t>
  </si>
  <si>
    <t>תשלום הנובע מהשקעה בקרנות  השקעה בישראל</t>
  </si>
  <si>
    <t>תשלום הנובע מהשקעה בקרנות  השקעה בחול</t>
  </si>
  <si>
    <t>תשלום למנהל תיקים זרים :</t>
  </si>
  <si>
    <t>סך התשלום בגין השקעה בקרן נאמנות</t>
  </si>
  <si>
    <t>תשלום בגין השקעה בתעודות סל</t>
  </si>
  <si>
    <t>תעודות סל ישראלית</t>
  </si>
  <si>
    <t>תעודות סל זרה</t>
  </si>
  <si>
    <t>סך הכל עמלות בגין תשלום השקעה בתעודת סל</t>
  </si>
  <si>
    <t>נשואה</t>
  </si>
  <si>
    <t>פסגות ני"ע בע"מ</t>
  </si>
  <si>
    <t>Hamilton lane co investment Feedr fund III LP</t>
  </si>
  <si>
    <t>קרן טנא (ארגון המורים)</t>
  </si>
  <si>
    <t>ALTO FUND II</t>
  </si>
  <si>
    <t>אייפקס ארגון המורים</t>
  </si>
  <si>
    <t>קרן SOMV</t>
  </si>
  <si>
    <t>קרן גידור נוקד מניות עגור</t>
  </si>
  <si>
    <t>קרן ספרה 020613</t>
  </si>
  <si>
    <t>המילטון 2016 קרן השקעה</t>
  </si>
  <si>
    <t>IBI CONSUMER CREDIT FUND</t>
  </si>
  <si>
    <t>GATEWOOD</t>
  </si>
  <si>
    <t>ISF II</t>
  </si>
  <si>
    <t>קרן מידאל MIDEAL</t>
  </si>
  <si>
    <t>ALTO III</t>
  </si>
  <si>
    <t>לידר</t>
  </si>
  <si>
    <t>אלפא הזדמנויות עגור</t>
  </si>
  <si>
    <t>Hamilton lane Special Opportunities 2017</t>
  </si>
  <si>
    <t>ELECTRA AMERICA MULTI FAMILY</t>
  </si>
  <si>
    <t>קרן ברוש</t>
  </si>
  <si>
    <t>קרן פורמה - עגור</t>
  </si>
  <si>
    <t>עמלות קניה ומכירה של ניירות ערך</t>
  </si>
  <si>
    <t>הוצאות בגין השקעות לא סחירות</t>
  </si>
  <si>
    <t>בגין השקעה בקרנות השקעה</t>
  </si>
  <si>
    <t>בגין השקעה בנכסים מחוץ לישראל</t>
  </si>
  <si>
    <t>בגין השקעה בנכסים בישראל באמצעות תעודות סל</t>
  </si>
  <si>
    <t>עמלות אחרות</t>
  </si>
  <si>
    <t>שיעור הוצאות ישירות</t>
  </si>
  <si>
    <t>חיתום הלוואות לעמיתים</t>
  </si>
  <si>
    <t>בנק פועלים</t>
  </si>
  <si>
    <t>אי.בי.אי.</t>
  </si>
  <si>
    <t>קרן השקעה  alpha במניות יתר (עגור)</t>
  </si>
  <si>
    <t>קרן השקעה  alpha במניות יתר (עגור) 01/07/13</t>
  </si>
  <si>
    <t>alpha קרן השקעה  14.02.18</t>
  </si>
  <si>
    <t>Hamilton co invest IV</t>
  </si>
  <si>
    <t>LLCP VI</t>
  </si>
  <si>
    <t>ברוקר חו"ל</t>
  </si>
  <si>
    <t>HarbourVest 2018</t>
  </si>
  <si>
    <t>מיטב טרייד אין</t>
  </si>
  <si>
    <t>בנק דיסקונט</t>
  </si>
  <si>
    <t>PGCO IV</t>
  </si>
  <si>
    <t>MACQUARIE INFRASTRUCTURE PARNERS IV</t>
  </si>
  <si>
    <t>MONETA CAPITAL</t>
  </si>
  <si>
    <t>קדמה 3</t>
  </si>
  <si>
    <t>בנק לאומי</t>
  </si>
  <si>
    <t>KLIRMARK III עגור</t>
  </si>
  <si>
    <t>יסודות ג' נדלן ופיתוח שותפות מוגבלת</t>
  </si>
  <si>
    <t>VESTAR VII-A</t>
  </si>
  <si>
    <t>GIP IV-C</t>
  </si>
  <si>
    <t>COLCHIS INCOME FUND</t>
  </si>
  <si>
    <t>HarbourVest Dover X</t>
  </si>
  <si>
    <t>LCP IX  לקסינגטון</t>
  </si>
  <si>
    <t>IBI SBL של IBI</t>
  </si>
  <si>
    <t>FORTTISSIMO V IBI</t>
  </si>
  <si>
    <t>קרן ברוש II</t>
  </si>
  <si>
    <t>Bain Capital DSS 2019</t>
  </si>
  <si>
    <t>אחר</t>
  </si>
  <si>
    <t>שיעור סך הוצאות ישירות מסך יתרת הנכסים הממוצעת (באחוזים) (סעיף 6 חלקי סך נכסים לתום שנה קודמת)</t>
  </si>
  <si>
    <t>מיזרחי</t>
  </si>
  <si>
    <t>עמלות קרנות השקעה</t>
  </si>
  <si>
    <t>תשתיות ישראל 4 IBI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</si>
  <si>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</si>
  <si>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</si>
  <si>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</si>
  <si>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</si>
  <si>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</si>
  <si>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Insight Partners XI של IBI קשור ל פסגות</t>
  </si>
  <si>
    <t>Pantheon Access SLP SICAV SIF IBI</t>
  </si>
  <si>
    <t>IBI SBL של IBI 3</t>
  </si>
  <si>
    <t>IBI SBL של IBI 2</t>
  </si>
  <si>
    <t>IBI CONSUMER CREDIT FUND 2</t>
  </si>
  <si>
    <t>פאגאיה אופורטוניטי</t>
  </si>
  <si>
    <t>Electra Multifamily III קשור ל פסגות</t>
  </si>
  <si>
    <t>FAROPOINT FRG-IX L.P</t>
  </si>
  <si>
    <t>גיזה מזנין</t>
  </si>
  <si>
    <t>RPS</t>
  </si>
  <si>
    <t>Cheyne European Strategic II IBI</t>
  </si>
  <si>
    <t>PGCO V  פנתאון</t>
  </si>
  <si>
    <t>CIP VII Cerberus</t>
  </si>
  <si>
    <t>Insight Partners XII</t>
  </si>
  <si>
    <t>CD&amp;R של IBI</t>
  </si>
  <si>
    <t>Viola Credit VI</t>
  </si>
  <si>
    <t>MV Subordinated V IBI</t>
  </si>
  <si>
    <t>MV Credit Senior II קשור ל פסגות</t>
  </si>
  <si>
    <t>Trez Capital Prime Trust</t>
  </si>
  <si>
    <t>IBI CONSUMER CREDIT FUND מספר 2</t>
  </si>
  <si>
    <t>EQT Infrastructure V ארגון</t>
  </si>
  <si>
    <t>הפניקס חוב נדל"ן KYC</t>
  </si>
  <si>
    <t>הפניקס חוב נדל"ן KYC 2</t>
  </si>
  <si>
    <t>הפניקס חוב נדל"ן 3 KYC</t>
  </si>
  <si>
    <t>פורמה II</t>
  </si>
  <si>
    <t>01/09/21-31/08/2022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</si>
</sst>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###"/>
    <numFmt numFmtId="175" formatCode="#,##0.00_ ;[Red]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#,##0_ ;\-#,##0\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8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10" fontId="0" fillId="0" borderId="0" xfId="38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right" vertical="center"/>
    </xf>
    <xf numFmtId="174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horizontal="right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10" xfId="36"/>
    <cellStyle name="Normal 2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1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2" max="2" width="77.28125" style="0" bestFit="1" customWidth="1"/>
    <col min="3" max="3" width="11.8515625" style="0" bestFit="1" customWidth="1"/>
    <col min="4" max="5" width="10.57421875" style="1" bestFit="1" customWidth="1"/>
    <col min="6" max="6" width="11.8515625" style="1" bestFit="1" customWidth="1"/>
    <col min="7" max="9" width="9.140625" style="1" customWidth="1"/>
  </cols>
  <sheetData>
    <row r="2" ht="12.75">
      <c r="B2" s="8" t="s">
        <v>19</v>
      </c>
    </row>
    <row r="3" ht="12.75">
      <c r="B3" s="24" t="s">
        <v>152</v>
      </c>
    </row>
    <row r="4" spans="3:6" ht="13.5" customHeight="1">
      <c r="C4" s="15" t="s">
        <v>29</v>
      </c>
      <c r="D4" s="15" t="s">
        <v>30</v>
      </c>
      <c r="E4" s="15" t="s">
        <v>33</v>
      </c>
      <c r="F4" s="15" t="s">
        <v>31</v>
      </c>
    </row>
    <row r="5" spans="2:6" ht="19.5" customHeight="1">
      <c r="B5" s="7" t="s">
        <v>32</v>
      </c>
      <c r="C5" s="16" t="s">
        <v>6</v>
      </c>
      <c r="D5" s="16" t="s">
        <v>6</v>
      </c>
      <c r="E5" s="16" t="s">
        <v>6</v>
      </c>
      <c r="F5" s="16" t="s">
        <v>6</v>
      </c>
    </row>
    <row r="6" spans="2:6" ht="19.5" customHeight="1">
      <c r="B6" s="7"/>
      <c r="C6" s="16"/>
      <c r="D6" s="16"/>
      <c r="E6" s="16"/>
      <c r="F6" s="16"/>
    </row>
    <row r="7" spans="2:6" ht="15">
      <c r="B7" s="7" t="s">
        <v>36</v>
      </c>
      <c r="C7" s="9"/>
      <c r="D7" s="9"/>
      <c r="E7" s="9"/>
      <c r="F7" s="9"/>
    </row>
    <row r="8" spans="2:6" ht="12.75">
      <c r="B8" s="3" t="s">
        <v>1</v>
      </c>
      <c r="C8" s="14">
        <f>'נספח 2'!C8</f>
        <v>346.86217</v>
      </c>
      <c r="D8" s="14">
        <f>'נספח 2'!D8</f>
        <v>0.54</v>
      </c>
      <c r="E8" s="14">
        <f>+'נספח 2'!E9</f>
        <v>0</v>
      </c>
      <c r="F8" s="14">
        <f>SUM(C8:E8)</f>
        <v>347.40217</v>
      </c>
    </row>
    <row r="9" spans="2:6" ht="12.75">
      <c r="B9" s="3" t="s">
        <v>0</v>
      </c>
      <c r="C9" s="14">
        <f>'נספח 2'!C10</f>
        <v>1660.4820100000002</v>
      </c>
      <c r="D9" s="14">
        <f>'נספח 2'!D10</f>
        <v>29.95698</v>
      </c>
      <c r="E9" s="14">
        <f>'נספח 2'!E10</f>
        <v>0.20809</v>
      </c>
      <c r="F9" s="14">
        <f>SUM(C9:E9)</f>
        <v>1690.6470800000002</v>
      </c>
    </row>
    <row r="10" spans="2:6" ht="12.75">
      <c r="B10" s="3"/>
      <c r="C10" s="14"/>
      <c r="D10" s="14"/>
      <c r="E10" s="14"/>
      <c r="F10" s="14"/>
    </row>
    <row r="11" spans="2:6" ht="14.25" customHeight="1">
      <c r="B11" s="7" t="s">
        <v>37</v>
      </c>
      <c r="C11" s="14"/>
      <c r="D11" s="14"/>
      <c r="E11" s="14"/>
      <c r="F11" s="14"/>
    </row>
    <row r="12" spans="2:6" ht="12.75">
      <c r="B12" s="3" t="s">
        <v>2</v>
      </c>
      <c r="C12" s="14"/>
      <c r="D12" s="14"/>
      <c r="E12" s="14"/>
      <c r="F12" s="14"/>
    </row>
    <row r="13" spans="2:6" ht="12.75">
      <c r="B13" s="3" t="s">
        <v>3</v>
      </c>
      <c r="C13" s="14">
        <f>'נספח 2'!C30</f>
        <v>0</v>
      </c>
      <c r="D13" s="14">
        <f>'נספח 2'!D30</f>
        <v>0</v>
      </c>
      <c r="E13" s="14">
        <f>'נספח 2'!E30</f>
        <v>0</v>
      </c>
      <c r="F13" s="14">
        <f>SUM(C13:E13)</f>
        <v>0</v>
      </c>
    </row>
    <row r="14" spans="2:6" ht="12.75">
      <c r="B14" s="3"/>
      <c r="C14" s="14"/>
      <c r="D14" s="14"/>
      <c r="E14" s="14"/>
      <c r="F14" s="14"/>
    </row>
    <row r="15" spans="2:6" ht="15">
      <c r="B15" s="7" t="s">
        <v>38</v>
      </c>
      <c r="C15" s="14"/>
      <c r="D15" s="14"/>
      <c r="E15" s="14"/>
      <c r="F15" s="14"/>
    </row>
    <row r="16" spans="2:6" ht="12.75">
      <c r="B16" s="3" t="s">
        <v>39</v>
      </c>
      <c r="C16" s="14">
        <f>'נספח 2'!C36</f>
        <v>88.14441</v>
      </c>
      <c r="D16" s="14">
        <f>'נספח 2'!D36</f>
        <v>0</v>
      </c>
      <c r="E16" s="14">
        <f>'נספח 2'!E36</f>
        <v>0</v>
      </c>
      <c r="F16" s="14">
        <f>SUM(C16:E16)</f>
        <v>88.14441</v>
      </c>
    </row>
    <row r="17" spans="2:6" ht="12.75">
      <c r="B17" s="3" t="s">
        <v>40</v>
      </c>
      <c r="C17" s="14"/>
      <c r="D17" s="14"/>
      <c r="E17" s="14"/>
      <c r="F17" s="14"/>
    </row>
    <row r="18" spans="2:6" ht="12.75">
      <c r="B18" s="3" t="s">
        <v>41</v>
      </c>
      <c r="C18" s="14"/>
      <c r="D18" s="14"/>
      <c r="E18" s="14"/>
      <c r="F18" s="14"/>
    </row>
    <row r="19" spans="2:6" ht="12.75">
      <c r="B19" s="3"/>
      <c r="C19" s="14"/>
      <c r="D19" s="14"/>
      <c r="E19" s="14"/>
      <c r="F19" s="14"/>
    </row>
    <row r="20" spans="2:6" ht="15">
      <c r="B20" s="7" t="s">
        <v>42</v>
      </c>
      <c r="C20" s="14"/>
      <c r="D20" s="14"/>
      <c r="E20" s="14"/>
      <c r="F20" s="14"/>
    </row>
    <row r="21" spans="2:6" ht="12.75">
      <c r="B21" s="3" t="s">
        <v>43</v>
      </c>
      <c r="C21" s="14">
        <f>'נספח 3'!C30</f>
        <v>2803.8614087999995</v>
      </c>
      <c r="D21" s="14">
        <f>'נספח 3'!D30</f>
        <v>0</v>
      </c>
      <c r="E21" s="14">
        <f>'נספח 3'!E30</f>
        <v>0</v>
      </c>
      <c r="F21" s="14">
        <f>SUM(C21:E21)</f>
        <v>2803.8614087999995</v>
      </c>
    </row>
    <row r="22" spans="2:6" ht="12.75">
      <c r="B22" s="3" t="s">
        <v>44</v>
      </c>
      <c r="C22" s="14">
        <f>'נספח 3'!C87</f>
        <v>6659.322525120601</v>
      </c>
      <c r="D22" s="14">
        <f>'נספח 3'!D87</f>
        <v>0</v>
      </c>
      <c r="E22" s="14">
        <f>'נספח 3'!E87</f>
        <v>0</v>
      </c>
      <c r="F22" s="14">
        <f>SUM(C22:E22)</f>
        <v>6659.322525120601</v>
      </c>
    </row>
    <row r="23" spans="2:6" ht="12.75">
      <c r="B23" s="6" t="s">
        <v>4</v>
      </c>
      <c r="C23" s="14"/>
      <c r="D23" s="14"/>
      <c r="E23" s="14"/>
      <c r="F23" s="14"/>
    </row>
    <row r="24" spans="2:6" ht="12.75">
      <c r="B24" s="6" t="s">
        <v>13</v>
      </c>
      <c r="C24" s="14"/>
      <c r="D24" s="14"/>
      <c r="E24" s="14"/>
      <c r="F24" s="14"/>
    </row>
    <row r="25" spans="2:6" ht="12.75">
      <c r="B25" s="3" t="s">
        <v>45</v>
      </c>
      <c r="C25" s="14">
        <f>'נספח 3'!C98</f>
        <v>0</v>
      </c>
      <c r="D25" s="14"/>
      <c r="E25" s="14"/>
      <c r="F25" s="14"/>
    </row>
    <row r="26" spans="2:6" ht="12.75">
      <c r="B26" s="3" t="s">
        <v>46</v>
      </c>
      <c r="C26" s="14">
        <f>'נספח 3'!C99</f>
        <v>1810.489704837822</v>
      </c>
      <c r="D26" s="14">
        <f>'נספח 3'!D99</f>
        <v>0</v>
      </c>
      <c r="E26" s="14">
        <f>'נספח 3'!E99</f>
        <v>0</v>
      </c>
      <c r="F26" s="14">
        <f>SUM(C26:E26)</f>
        <v>1810.489704837822</v>
      </c>
    </row>
    <row r="27" spans="2:6" ht="12.75">
      <c r="B27" s="6" t="s">
        <v>47</v>
      </c>
      <c r="C27" s="14">
        <f>'נספח 3'!C103</f>
        <v>39.525672200331606</v>
      </c>
      <c r="D27" s="14">
        <f>'נספח 3'!D103</f>
        <v>12.755609234816976</v>
      </c>
      <c r="E27" s="14">
        <f>'נספח 3'!E103</f>
        <v>0</v>
      </c>
      <c r="F27" s="14">
        <f>SUM(C27:E27)</f>
        <v>52.281281435148586</v>
      </c>
    </row>
    <row r="28" spans="2:6" ht="12.75">
      <c r="B28" s="6" t="s">
        <v>48</v>
      </c>
      <c r="C28" s="14">
        <f>'נספח 3'!C104</f>
        <v>968.0323744653671</v>
      </c>
      <c r="D28" s="14">
        <f>'נספח 3'!D104</f>
        <v>0</v>
      </c>
      <c r="E28" s="14">
        <f>'נספח 3'!E104</f>
        <v>0</v>
      </c>
      <c r="F28" s="14">
        <f>SUM(C28:E28)</f>
        <v>968.0323744653671</v>
      </c>
    </row>
    <row r="29" spans="2:6" ht="12.75">
      <c r="B29" s="6"/>
      <c r="C29" s="14"/>
      <c r="D29" s="14"/>
      <c r="E29" s="14"/>
      <c r="F29" s="14"/>
    </row>
    <row r="30" spans="2:6" ht="15">
      <c r="B30" s="7" t="s">
        <v>49</v>
      </c>
      <c r="C30" s="14"/>
      <c r="D30" s="14"/>
      <c r="E30" s="14"/>
      <c r="F30" s="14"/>
    </row>
    <row r="31" spans="2:6" ht="12.75">
      <c r="B31" s="3" t="s">
        <v>50</v>
      </c>
      <c r="C31" s="14"/>
      <c r="D31" s="14"/>
      <c r="E31" s="14"/>
      <c r="F31" s="14"/>
    </row>
    <row r="32" spans="2:6" ht="12.75">
      <c r="B32" s="3" t="s">
        <v>51</v>
      </c>
      <c r="C32" s="14"/>
      <c r="D32" s="14"/>
      <c r="E32" s="14"/>
      <c r="F32" s="14"/>
    </row>
    <row r="33" spans="2:6" ht="12.75">
      <c r="B33" s="2"/>
      <c r="C33" s="14"/>
      <c r="D33" s="14"/>
      <c r="E33" s="14"/>
      <c r="F33" s="14"/>
    </row>
    <row r="34" spans="2:6" ht="12.75">
      <c r="B34" s="3" t="s">
        <v>5</v>
      </c>
      <c r="C34" s="14">
        <f>+C9+C13+C16+C21+C22+C27+C28+C26+C8</f>
        <v>14376.720275424124</v>
      </c>
      <c r="D34" s="14">
        <f>+D9+D13+D16+D21+D22+D27+D28+D26+D8</f>
        <v>43.25258923481697</v>
      </c>
      <c r="E34" s="14">
        <f>+E9+E13+E16+E21+E22+E27+E28+E26+E8</f>
        <v>0.20809</v>
      </c>
      <c r="F34" s="14">
        <f>SUM(C34:E34)</f>
        <v>14420.180954658941</v>
      </c>
    </row>
    <row r="35" spans="2:6" ht="12.75">
      <c r="B35" s="3"/>
      <c r="C35" s="11"/>
      <c r="D35" s="11"/>
      <c r="E35" s="11"/>
      <c r="F35" s="11"/>
    </row>
    <row r="36" spans="2:6" ht="25.5">
      <c r="B36" s="18" t="s">
        <v>52</v>
      </c>
      <c r="C36" s="19">
        <f>(C16+C21+C22+C27+C28+C32+C26)/C39</f>
        <v>0.001966789020061007</v>
      </c>
      <c r="D36" s="19">
        <f>(D16+D21+D22+D27+D28+D32+D26)/D39</f>
        <v>9.545396827694903E-05</v>
      </c>
      <c r="E36" s="19">
        <f>(E16+E21+E22+E27+E28+E32+E26)/E39</f>
        <v>0</v>
      </c>
      <c r="F36" s="19">
        <f>(F16+F21+F22+F27+F28+F32+F26)/F39</f>
        <v>0.0019275616440576156</v>
      </c>
    </row>
    <row r="37" spans="2:6" ht="25.5">
      <c r="B37" s="18" t="s">
        <v>118</v>
      </c>
      <c r="C37" s="19">
        <f>C34/((6708312+6441439)/2)</f>
        <v>0.002186614830261672</v>
      </c>
      <c r="D37" s="19">
        <f>D34/((148528+154617)/2)</f>
        <v>0.00028535908053780847</v>
      </c>
      <c r="E37" s="19">
        <f>E34/((975+1545)/2)</f>
        <v>0.00016515079365079366</v>
      </c>
      <c r="F37" s="19">
        <f>F34/((6423728+6597601)/2)</f>
        <v>0.002214855481289036</v>
      </c>
    </row>
    <row r="38" spans="2:6" ht="12.75">
      <c r="B38" s="2"/>
      <c r="C38" s="14"/>
      <c r="D38" s="14"/>
      <c r="E38" s="14"/>
      <c r="F38" s="14"/>
    </row>
    <row r="39" spans="2:6" ht="12.75">
      <c r="B39" s="3" t="s">
        <v>35</v>
      </c>
      <c r="C39" s="14">
        <f>5978083+311039</f>
        <v>6289122</v>
      </c>
      <c r="D39" s="14">
        <f>123837+9794</f>
        <v>133631</v>
      </c>
      <c r="E39" s="14">
        <v>975</v>
      </c>
      <c r="F39" s="14">
        <f>SUM(C39:E39)</f>
        <v>6423728</v>
      </c>
    </row>
    <row r="41" spans="3:6" ht="12.75">
      <c r="C41" s="13"/>
      <c r="D41" s="13"/>
      <c r="E41" s="13"/>
      <c r="F41" s="13"/>
    </row>
    <row r="42" spans="3:6" ht="12.75">
      <c r="C42" s="23"/>
      <c r="D42" s="23"/>
      <c r="E42" s="23"/>
      <c r="F42" s="23"/>
    </row>
    <row r="43" spans="3:6" ht="12.75">
      <c r="C43" s="13"/>
      <c r="D43" s="13"/>
      <c r="E43" s="13"/>
      <c r="F43" s="13"/>
    </row>
    <row r="44" spans="2:6" ht="12.75">
      <c r="B44" t="s">
        <v>82</v>
      </c>
      <c r="C44" s="13">
        <f>+C8+C9+C13</f>
        <v>2007.34418</v>
      </c>
      <c r="D44" s="13">
        <f>+D8+D9+D13</f>
        <v>30.49698</v>
      </c>
      <c r="E44" s="13">
        <f>+E8+E9+E13</f>
        <v>0.20809</v>
      </c>
      <c r="F44" s="13">
        <f>+F8+F9+F13</f>
        <v>2038.0492500000003</v>
      </c>
    </row>
    <row r="45" spans="3:6" ht="12.75">
      <c r="C45" s="23">
        <f>+C44/C39</f>
        <v>0.0003191771729026723</v>
      </c>
      <c r="D45" s="23">
        <f>+D44/D39</f>
        <v>0.00022821785364174482</v>
      </c>
      <c r="E45" s="23">
        <f>+E44/E39</f>
        <v>0.000213425641025641</v>
      </c>
      <c r="F45" s="23">
        <f>+F44/F39</f>
        <v>0.00031726892078867605</v>
      </c>
    </row>
    <row r="46" spans="2:6" ht="12.75">
      <c r="B46" t="s">
        <v>83</v>
      </c>
      <c r="C46" s="13">
        <f>+C16</f>
        <v>88.14441</v>
      </c>
      <c r="D46" s="13">
        <f>+D16</f>
        <v>0</v>
      </c>
      <c r="E46" s="13">
        <f>+E16</f>
        <v>0</v>
      </c>
      <c r="F46" s="13">
        <f>+F16</f>
        <v>88.14441</v>
      </c>
    </row>
    <row r="47" spans="3:6" ht="12.75">
      <c r="C47" s="23">
        <f>+C46/C39</f>
        <v>1.4015376073162517E-05</v>
      </c>
      <c r="D47" s="23">
        <f>+D46/D39</f>
        <v>0</v>
      </c>
      <c r="E47" s="23">
        <f>+E46/E39</f>
        <v>0</v>
      </c>
      <c r="F47" s="23">
        <f>+F46/F39</f>
        <v>1.3721690893512302E-05</v>
      </c>
    </row>
    <row r="48" spans="2:6" ht="12.75">
      <c r="B48" t="s">
        <v>84</v>
      </c>
      <c r="C48" s="13">
        <f>+C21+C22</f>
        <v>9463.183933920602</v>
      </c>
      <c r="D48" s="13">
        <f>+D21+D22</f>
        <v>0</v>
      </c>
      <c r="E48" s="13">
        <f>+E21+E22</f>
        <v>0</v>
      </c>
      <c r="F48" s="13">
        <f>+F21+F22</f>
        <v>9463.183933920602</v>
      </c>
    </row>
    <row r="49" spans="3:6" ht="12.75">
      <c r="C49" s="23">
        <f>+C48/C39</f>
        <v>0.001504690787350063</v>
      </c>
      <c r="D49" s="23">
        <f>+D48/D39</f>
        <v>0</v>
      </c>
      <c r="E49" s="23">
        <f>+E48/E39</f>
        <v>0</v>
      </c>
      <c r="F49" s="23">
        <f>+F48/F39</f>
        <v>0.001473160746208526</v>
      </c>
    </row>
    <row r="50" spans="2:6" ht="12.75">
      <c r="B50" t="s">
        <v>85</v>
      </c>
      <c r="C50" s="13">
        <f>+C26+C28</f>
        <v>2778.522079303189</v>
      </c>
      <c r="D50" s="13">
        <f>+D26+D27+D28</f>
        <v>12.755609234816976</v>
      </c>
      <c r="E50" s="13">
        <f>+E26+E27+E28</f>
        <v>0</v>
      </c>
      <c r="F50" s="13">
        <f>+F26+F27+F28</f>
        <v>2830.8033607383377</v>
      </c>
    </row>
    <row r="51" spans="3:6" ht="12.75">
      <c r="C51" s="23">
        <f>+C50/C39</f>
        <v>0.0004417980887162292</v>
      </c>
      <c r="D51" s="23">
        <f>+D50/D39</f>
        <v>9.545396827694903E-05</v>
      </c>
      <c r="E51" s="23">
        <f>+E50/E39</f>
        <v>0</v>
      </c>
      <c r="F51" s="23">
        <f>+F50/F39</f>
        <v>0.0004406792069555775</v>
      </c>
    </row>
    <row r="52" spans="2:6" ht="12.75">
      <c r="B52" t="s">
        <v>86</v>
      </c>
      <c r="C52" s="13">
        <f>+C27</f>
        <v>39.525672200331606</v>
      </c>
      <c r="D52" s="13">
        <f>+D27</f>
        <v>12.755609234816976</v>
      </c>
      <c r="E52" s="13">
        <f>+E27</f>
        <v>0</v>
      </c>
      <c r="F52" s="13">
        <f>+F27</f>
        <v>52.281281435148586</v>
      </c>
    </row>
    <row r="53" spans="3:6" ht="12.75">
      <c r="C53" s="23">
        <f>+C52/C39</f>
        <v>6.284767921552739E-06</v>
      </c>
      <c r="D53" s="23">
        <f>+D52/D39</f>
        <v>9.545396827694903E-05</v>
      </c>
      <c r="E53" s="23">
        <f>+E52/E39</f>
        <v>0</v>
      </c>
      <c r="F53" s="23">
        <f>+F52/F39</f>
        <v>8.138775713284963E-06</v>
      </c>
    </row>
    <row r="54" spans="2:6" ht="12.75">
      <c r="B54" t="s">
        <v>87</v>
      </c>
      <c r="C54" s="13">
        <v>0</v>
      </c>
      <c r="D54" s="13">
        <v>0</v>
      </c>
      <c r="E54" s="13">
        <v>0</v>
      </c>
      <c r="F54" s="13">
        <v>0</v>
      </c>
    </row>
    <row r="55" spans="3:6" ht="12.75">
      <c r="C55" s="23">
        <f>+C54/C39</f>
        <v>0</v>
      </c>
      <c r="D55" s="23">
        <f>+D54/D39</f>
        <v>0</v>
      </c>
      <c r="E55" s="23">
        <f>+E54/E39</f>
        <v>0</v>
      </c>
      <c r="F55" s="23">
        <f>+F54/F39</f>
        <v>0</v>
      </c>
    </row>
    <row r="56" spans="2:6" ht="12.75">
      <c r="B56" t="s">
        <v>88</v>
      </c>
      <c r="C56" s="13">
        <f>+C44+C46+C48+C50+C52</f>
        <v>14376.720275424124</v>
      </c>
      <c r="D56" s="13">
        <f>+D44+D46+D48+D50+D52</f>
        <v>56.00819846963395</v>
      </c>
      <c r="E56" s="13">
        <f>+E44+E46+E48+E50+E52</f>
        <v>0.20809</v>
      </c>
      <c r="F56" s="13">
        <f>+F44+F46+F48+F50+F52</f>
        <v>14472.462236094088</v>
      </c>
    </row>
    <row r="57" spans="3:6" ht="12.75">
      <c r="C57" s="23">
        <f>+C56/C39</f>
        <v>0.0022859661929636797</v>
      </c>
      <c r="D57" s="23">
        <f>+D56/D39</f>
        <v>0.00041912579019564287</v>
      </c>
      <c r="E57" s="23">
        <f>+E56/E39</f>
        <v>0.000213425641025641</v>
      </c>
      <c r="F57" s="23">
        <f>+F56/F39</f>
        <v>0.0022529693405595767</v>
      </c>
    </row>
    <row r="59" spans="3:6" ht="12.75">
      <c r="C59" s="28">
        <f>+C13*100/C39</f>
        <v>0</v>
      </c>
      <c r="D59" s="28">
        <f>+D13*100/D39</f>
        <v>0</v>
      </c>
      <c r="E59" s="28">
        <f>+E13*100/E39</f>
        <v>0</v>
      </c>
      <c r="F59" s="28">
        <f>+F13*100/F39</f>
        <v>0</v>
      </c>
    </row>
    <row r="60" spans="3:6" ht="12.75">
      <c r="C60" s="28">
        <f>+C9+C13</f>
        <v>1660.4820100000002</v>
      </c>
      <c r="D60" s="28">
        <f>+D9+D13</f>
        <v>29.95698</v>
      </c>
      <c r="E60" s="28">
        <f>+E9+E13</f>
        <v>0.20809</v>
      </c>
      <c r="F60" s="28">
        <f>+F9+F13</f>
        <v>1690.6470800000002</v>
      </c>
    </row>
    <row r="61" spans="3:6" ht="12.75">
      <c r="C61" s="28">
        <f>+C60*100/C39</f>
        <v>0.026402445524192412</v>
      </c>
      <c r="D61" s="28">
        <f>+D60*100/D39</f>
        <v>0.02241768751262806</v>
      </c>
      <c r="E61" s="28">
        <f>+E60*100/E39</f>
        <v>0.021342564102564104</v>
      </c>
      <c r="F61" s="28">
        <f>+F60*100/F39</f>
        <v>0.026318783734305067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rightToLeft="1" tabSelected="1" zoomScalePageLayoutView="0" workbookViewId="0" topLeftCell="A1">
      <selection activeCell="B22" sqref="B22"/>
    </sheetView>
  </sheetViews>
  <sheetFormatPr defaultColWidth="9.140625" defaultRowHeight="12.75"/>
  <cols>
    <col min="2" max="2" width="56.8515625" style="0" bestFit="1" customWidth="1"/>
    <col min="3" max="3" width="11.7109375" style="0" bestFit="1" customWidth="1"/>
    <col min="4" max="4" width="9.140625" style="0" bestFit="1" customWidth="1"/>
    <col min="5" max="5" width="8.7109375" style="0" bestFit="1" customWidth="1"/>
    <col min="6" max="6" width="11.7109375" style="0" bestFit="1" customWidth="1"/>
  </cols>
  <sheetData>
    <row r="2" spans="2:3" ht="12.75">
      <c r="B2" s="5" t="s">
        <v>18</v>
      </c>
      <c r="C2" s="1"/>
    </row>
    <row r="3" spans="2:3" ht="14.25" customHeight="1">
      <c r="B3" s="24" t="str">
        <f>'נספח 1'!B3</f>
        <v>01/09/21-31/08/2022</v>
      </c>
      <c r="C3" s="1"/>
    </row>
    <row r="4" spans="2:6" ht="12.75">
      <c r="B4" s="1"/>
      <c r="C4" s="15" t="s">
        <v>29</v>
      </c>
      <c r="D4" s="15" t="s">
        <v>30</v>
      </c>
      <c r="E4" s="15" t="s">
        <v>33</v>
      </c>
      <c r="F4" s="15" t="s">
        <v>31</v>
      </c>
    </row>
    <row r="5" spans="2:6" ht="25.5" customHeight="1">
      <c r="B5" s="7" t="str">
        <f>'נספח 1'!B5</f>
        <v>קרן השתלמות למורים בביה"ס העל יסודים במכללות ובסמינרים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2:6" ht="15">
      <c r="B6" s="7"/>
      <c r="C6" s="3"/>
      <c r="D6" s="3"/>
      <c r="E6" s="3"/>
      <c r="F6" s="3"/>
    </row>
    <row r="7" spans="2:6" ht="12.75">
      <c r="B7" s="4" t="s">
        <v>7</v>
      </c>
      <c r="C7" s="10"/>
      <c r="D7" s="10"/>
      <c r="E7" s="10"/>
      <c r="F7" s="10"/>
    </row>
    <row r="8" spans="2:6" ht="12.75">
      <c r="B8" s="3" t="s">
        <v>20</v>
      </c>
      <c r="C8" s="14">
        <f>+C9</f>
        <v>346.86217</v>
      </c>
      <c r="D8" s="14">
        <f>+D9</f>
        <v>0.54</v>
      </c>
      <c r="E8" s="14">
        <f>+E9</f>
        <v>0</v>
      </c>
      <c r="F8" s="14">
        <f>+F9</f>
        <v>347.40217</v>
      </c>
    </row>
    <row r="9" spans="2:6" ht="12.75">
      <c r="B9" s="2" t="s">
        <v>91</v>
      </c>
      <c r="C9" s="26">
        <f>217794.34/1000+129067.83/1000</f>
        <v>346.86217</v>
      </c>
      <c r="D9" s="26">
        <v>0.54</v>
      </c>
      <c r="E9" s="26"/>
      <c r="F9" s="26">
        <f>+C9+D9</f>
        <v>347.40217</v>
      </c>
    </row>
    <row r="10" spans="2:6" ht="12.75">
      <c r="B10" s="3" t="s">
        <v>21</v>
      </c>
      <c r="C10" s="14">
        <f>SUM(C11:C20)</f>
        <v>1660.4820100000002</v>
      </c>
      <c r="D10" s="14">
        <f>SUM(D11:D20)</f>
        <v>29.95698</v>
      </c>
      <c r="E10" s="14">
        <f>SUM(E11:E20)</f>
        <v>0.20809</v>
      </c>
      <c r="F10" s="14">
        <f>SUM(F11:F20)</f>
        <v>1690.43899</v>
      </c>
    </row>
    <row r="11" spans="2:8" ht="12.75">
      <c r="B11" s="2" t="s">
        <v>16</v>
      </c>
      <c r="C11" s="26">
        <f>375462.03/1000</f>
        <v>375.46203</v>
      </c>
      <c r="D11" s="26">
        <f>21069.19/1000</f>
        <v>21.06919</v>
      </c>
      <c r="E11" s="26">
        <f>208.09/1000</f>
        <v>0.20809</v>
      </c>
      <c r="F11" s="26">
        <f aca="true" t="shared" si="0" ref="F11:F20">+C11+D11</f>
        <v>396.53122</v>
      </c>
      <c r="H11" s="22"/>
    </row>
    <row r="12" spans="2:6" ht="12.75">
      <c r="B12" s="21" t="s">
        <v>100</v>
      </c>
      <c r="C12" s="26">
        <f>34074.23/1000</f>
        <v>34.07423</v>
      </c>
      <c r="D12" s="26">
        <f>520.99/1000</f>
        <v>0.5209900000000001</v>
      </c>
      <c r="E12" s="26"/>
      <c r="F12" s="26">
        <f t="shared" si="0"/>
        <v>34.59522</v>
      </c>
    </row>
    <row r="13" spans="2:6" ht="12.75">
      <c r="B13" s="21" t="s">
        <v>105</v>
      </c>
      <c r="C13" s="26">
        <f>3021.8/1000</f>
        <v>3.0218000000000003</v>
      </c>
      <c r="D13" s="26"/>
      <c r="E13" s="26"/>
      <c r="F13" s="26">
        <f t="shared" si="0"/>
        <v>3.0218000000000003</v>
      </c>
    </row>
    <row r="14" spans="2:6" ht="12.75">
      <c r="B14" s="21" t="s">
        <v>99</v>
      </c>
      <c r="C14" s="26">
        <f>60088.29/1000</f>
        <v>60.08829</v>
      </c>
      <c r="D14" s="26"/>
      <c r="E14" s="26"/>
      <c r="F14" s="26">
        <f t="shared" si="0"/>
        <v>60.08829</v>
      </c>
    </row>
    <row r="15" spans="2:6" ht="12.75">
      <c r="B15" s="21" t="s">
        <v>90</v>
      </c>
      <c r="C15" s="26">
        <f>40203.81/1000</f>
        <v>40.20381</v>
      </c>
      <c r="D15" s="26"/>
      <c r="E15" s="26"/>
      <c r="F15" s="26">
        <f t="shared" si="0"/>
        <v>40.20381</v>
      </c>
    </row>
    <row r="16" spans="2:6" ht="12.75">
      <c r="B16" s="29" t="s">
        <v>76</v>
      </c>
      <c r="C16" s="26">
        <f>109738.37/1000</f>
        <v>109.73836999999999</v>
      </c>
      <c r="D16" s="26">
        <f>2456.72/1000</f>
        <v>2.45672</v>
      </c>
      <c r="E16" s="26"/>
      <c r="F16" s="26">
        <f t="shared" si="0"/>
        <v>112.19509</v>
      </c>
    </row>
    <row r="17" spans="2:6" ht="12.75">
      <c r="B17" s="29" t="s">
        <v>119</v>
      </c>
      <c r="C17" s="26">
        <f>12469.63/1000</f>
        <v>12.469629999999999</v>
      </c>
      <c r="D17" s="26"/>
      <c r="E17" s="26"/>
      <c r="F17" s="26">
        <f t="shared" si="0"/>
        <v>12.469629999999999</v>
      </c>
    </row>
    <row r="18" spans="2:6" ht="12.75">
      <c r="B18" s="29" t="s">
        <v>61</v>
      </c>
      <c r="C18" s="26">
        <f>70243.68/1000</f>
        <v>70.24368</v>
      </c>
      <c r="D18" s="26"/>
      <c r="E18" s="26"/>
      <c r="F18" s="26">
        <f t="shared" si="0"/>
        <v>70.24368</v>
      </c>
    </row>
    <row r="19" spans="2:6" ht="12.75">
      <c r="B19" s="21" t="s">
        <v>62</v>
      </c>
      <c r="C19" s="26">
        <f>23312.57/1000</f>
        <v>23.31257</v>
      </c>
      <c r="D19" s="26">
        <f>1119.09/1000</f>
        <v>1.11909</v>
      </c>
      <c r="E19" s="26"/>
      <c r="F19" s="26">
        <f t="shared" si="0"/>
        <v>24.43166</v>
      </c>
    </row>
    <row r="20" spans="2:6" ht="12.75">
      <c r="B20" s="21" t="s">
        <v>97</v>
      </c>
      <c r="C20" s="26">
        <f>931867.6/1000</f>
        <v>931.8675999999999</v>
      </c>
      <c r="D20" s="26">
        <f>4790.99/1000</f>
        <v>4.79099</v>
      </c>
      <c r="E20" s="26"/>
      <c r="F20" s="26">
        <f t="shared" si="0"/>
        <v>936.6585899999999</v>
      </c>
    </row>
    <row r="21" spans="2:6" ht="12.75">
      <c r="B21" s="21"/>
      <c r="C21" s="26"/>
      <c r="D21" s="26"/>
      <c r="E21" s="26"/>
      <c r="F21" s="26"/>
    </row>
    <row r="22" spans="2:6" ht="12.75">
      <c r="B22" s="21"/>
      <c r="C22" s="26"/>
      <c r="D22" s="26"/>
      <c r="E22" s="26"/>
      <c r="F22" s="26"/>
    </row>
    <row r="23" spans="2:6" ht="12.75">
      <c r="B23" s="3" t="s">
        <v>8</v>
      </c>
      <c r="C23" s="14">
        <f>+C8+C10</f>
        <v>2007.34418</v>
      </c>
      <c r="D23" s="14">
        <f>+D10+D8</f>
        <v>30.49698</v>
      </c>
      <c r="E23" s="14">
        <f>+E8+E10</f>
        <v>0.20809</v>
      </c>
      <c r="F23" s="14">
        <f>+F8+F10</f>
        <v>2037.8411600000002</v>
      </c>
    </row>
    <row r="24" spans="2:6" ht="12.75">
      <c r="B24" s="2"/>
      <c r="C24" s="26"/>
      <c r="D24" s="26"/>
      <c r="E24" s="26"/>
      <c r="F24" s="26"/>
    </row>
    <row r="25" spans="2:6" ht="12.75">
      <c r="B25" s="4" t="s">
        <v>9</v>
      </c>
      <c r="C25" s="26"/>
      <c r="D25" s="26"/>
      <c r="E25" s="26"/>
      <c r="F25" s="26"/>
    </row>
    <row r="26" spans="2:6" ht="12.75">
      <c r="B26" s="3" t="s">
        <v>20</v>
      </c>
      <c r="C26" s="26"/>
      <c r="D26" s="26"/>
      <c r="E26" s="26"/>
      <c r="F26" s="26"/>
    </row>
    <row r="27" spans="2:6" ht="12.75">
      <c r="B27" s="3"/>
      <c r="C27" s="26"/>
      <c r="D27" s="26"/>
      <c r="E27" s="26"/>
      <c r="F27" s="26"/>
    </row>
    <row r="28" spans="2:6" ht="12.75">
      <c r="B28" s="3" t="s">
        <v>21</v>
      </c>
      <c r="C28" s="26"/>
      <c r="D28" s="26"/>
      <c r="E28" s="26"/>
      <c r="F28" s="26"/>
    </row>
    <row r="29" spans="2:6" ht="12.75">
      <c r="B29" s="2" t="s">
        <v>16</v>
      </c>
      <c r="C29" s="26">
        <v>0</v>
      </c>
      <c r="D29" s="31">
        <v>0</v>
      </c>
      <c r="E29" s="26">
        <v>0</v>
      </c>
      <c r="F29" s="26">
        <f>+C29+D29</f>
        <v>0</v>
      </c>
    </row>
    <row r="30" spans="2:6" ht="12.75">
      <c r="B30" s="3" t="s">
        <v>10</v>
      </c>
      <c r="C30" s="14">
        <f>SUM(C26:C29)</f>
        <v>0</v>
      </c>
      <c r="D30" s="14">
        <f>SUM(D26:D29)</f>
        <v>0</v>
      </c>
      <c r="E30" s="14">
        <f>SUM(E26:E29)</f>
        <v>0</v>
      </c>
      <c r="F30" s="14">
        <f>SUM(F26:F29)</f>
        <v>0</v>
      </c>
    </row>
    <row r="31" spans="2:6" ht="12.75">
      <c r="B31" s="2"/>
      <c r="C31" s="26"/>
      <c r="D31" s="26"/>
      <c r="E31" s="26"/>
      <c r="F31" s="26"/>
    </row>
    <row r="32" spans="2:6" ht="12.75">
      <c r="B32" s="3" t="s">
        <v>22</v>
      </c>
      <c r="C32" s="26"/>
      <c r="D32" s="26"/>
      <c r="E32" s="26"/>
      <c r="F32" s="26"/>
    </row>
    <row r="33" spans="2:6" ht="12.75">
      <c r="B33" s="25" t="s">
        <v>117</v>
      </c>
      <c r="C33" s="26">
        <v>0</v>
      </c>
      <c r="D33" s="26"/>
      <c r="E33" s="26"/>
      <c r="F33" s="27">
        <f>SUM(C33:E33)</f>
        <v>0</v>
      </c>
    </row>
    <row r="34" spans="2:6" ht="12.75">
      <c r="B34" s="25" t="s">
        <v>120</v>
      </c>
      <c r="C34" s="26">
        <f>22004.38/1000</f>
        <v>22.00438</v>
      </c>
      <c r="D34" s="26"/>
      <c r="E34" s="26"/>
      <c r="F34" s="27">
        <f>SUM(C34:E34)</f>
        <v>22.00438</v>
      </c>
    </row>
    <row r="35" spans="2:6" ht="12.75">
      <c r="B35" s="25" t="s">
        <v>89</v>
      </c>
      <c r="C35" s="26">
        <f>45297.03/1000+20843/1000</f>
        <v>66.14003</v>
      </c>
      <c r="D35" s="26">
        <v>0</v>
      </c>
      <c r="E35" s="26">
        <v>0</v>
      </c>
      <c r="F35" s="27">
        <f>SUM(C35:E35)</f>
        <v>66.14003</v>
      </c>
    </row>
    <row r="36" spans="2:6" ht="12.75">
      <c r="B36" s="3" t="s">
        <v>27</v>
      </c>
      <c r="C36" s="14">
        <f>SUM(C33:C35)</f>
        <v>88.14441</v>
      </c>
      <c r="D36" s="14">
        <f>SUM(D35)</f>
        <v>0</v>
      </c>
      <c r="E36" s="14">
        <f>SUM(E35)</f>
        <v>0</v>
      </c>
      <c r="F36" s="14">
        <f>SUM(C36:E36)</f>
        <v>88.14441</v>
      </c>
    </row>
    <row r="37" spans="2:6" ht="12.75">
      <c r="B37" s="25"/>
      <c r="C37" s="26"/>
      <c r="D37" s="26"/>
      <c r="E37" s="26"/>
      <c r="F37" s="26"/>
    </row>
    <row r="38" spans="2:6" ht="12.75">
      <c r="B38" s="3" t="s">
        <v>23</v>
      </c>
      <c r="C38" s="26"/>
      <c r="D38" s="26"/>
      <c r="E38" s="26"/>
      <c r="F38" s="26"/>
    </row>
    <row r="39" spans="2:6" ht="12.75">
      <c r="B39" s="25"/>
      <c r="C39" s="26"/>
      <c r="D39" s="26"/>
      <c r="E39" s="26"/>
      <c r="F39" s="26"/>
    </row>
    <row r="40" spans="2:6" ht="12.75">
      <c r="B40" s="3" t="s">
        <v>11</v>
      </c>
      <c r="C40" s="26"/>
      <c r="D40" s="26"/>
      <c r="E40" s="26"/>
      <c r="F40" s="26"/>
    </row>
    <row r="41" spans="2:6" ht="12.75">
      <c r="B41" s="25"/>
      <c r="C41" s="26"/>
      <c r="D41" s="26"/>
      <c r="E41" s="26"/>
      <c r="F41" s="26"/>
    </row>
    <row r="42" spans="2:6" ht="12.75">
      <c r="B42" s="3" t="s">
        <v>12</v>
      </c>
      <c r="C42" s="26">
        <f>+C36+C30+C23</f>
        <v>2095.48859</v>
      </c>
      <c r="D42" s="26">
        <f>+D36+D30+D23</f>
        <v>30.49698</v>
      </c>
      <c r="E42" s="26">
        <f>+E36+E30+E23</f>
        <v>0.20809</v>
      </c>
      <c r="F42" s="26">
        <f>F23+F30+F36+F10</f>
        <v>3816.4245600000004</v>
      </c>
    </row>
    <row r="43" spans="2:6" ht="12.75">
      <c r="B43" s="25"/>
      <c r="C43" s="26"/>
      <c r="D43" s="26"/>
      <c r="E43" s="26"/>
      <c r="F43" s="26"/>
    </row>
    <row r="44" spans="2:6" ht="12.75">
      <c r="B44" s="3" t="str">
        <f>'נספח 1'!B39</f>
        <v>סך הכל נכסים לסוף תקופה קודמת</v>
      </c>
      <c r="C44" s="14">
        <f>'נספח 1'!C39</f>
        <v>6289122</v>
      </c>
      <c r="D44" s="14">
        <f>'נספח 1'!D39</f>
        <v>133631</v>
      </c>
      <c r="E44" s="14">
        <f>'נספח 1'!E39</f>
        <v>975</v>
      </c>
      <c r="F44" s="14">
        <f>SUM(C44:E44)</f>
        <v>6423728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9"/>
  <sheetViews>
    <sheetView rightToLeft="1" zoomScalePageLayoutView="0" workbookViewId="0" topLeftCell="A90">
      <selection activeCell="D103" sqref="D103"/>
    </sheetView>
  </sheetViews>
  <sheetFormatPr defaultColWidth="9.140625" defaultRowHeight="12.75"/>
  <cols>
    <col min="2" max="2" width="56.140625" style="0" bestFit="1" customWidth="1"/>
    <col min="3" max="3" width="11.7109375" style="0" bestFit="1" customWidth="1"/>
    <col min="4" max="4" width="9.140625" style="0" bestFit="1" customWidth="1"/>
    <col min="5" max="5" width="8.7109375" style="0" bestFit="1" customWidth="1"/>
    <col min="6" max="6" width="11.7109375" style="0" bestFit="1" customWidth="1"/>
  </cols>
  <sheetData>
    <row r="2" spans="2:3" ht="12.75">
      <c r="B2" s="5" t="s">
        <v>17</v>
      </c>
      <c r="C2" s="1"/>
    </row>
    <row r="3" spans="2:3" ht="12.75">
      <c r="B3" s="24" t="str">
        <f>'נספח 1'!B3</f>
        <v>01/09/21-31/08/2022</v>
      </c>
      <c r="C3" s="1"/>
    </row>
    <row r="4" spans="3:6" ht="12.75">
      <c r="C4" s="15" t="s">
        <v>29</v>
      </c>
      <c r="D4" s="15" t="s">
        <v>30</v>
      </c>
      <c r="E4" s="15" t="s">
        <v>33</v>
      </c>
      <c r="F4" s="15" t="s">
        <v>31</v>
      </c>
    </row>
    <row r="5" spans="2:6" ht="21" customHeight="1">
      <c r="B5" s="7" t="str">
        <f>'נספח 1'!B5</f>
        <v>קרן השתלמות למורים בביה"ס העל יסודים במכללות ובסמינרים</v>
      </c>
      <c r="C5" s="16" t="s">
        <v>6</v>
      </c>
      <c r="D5" s="16" t="s">
        <v>6</v>
      </c>
      <c r="E5" s="16" t="s">
        <v>6</v>
      </c>
      <c r="F5" s="16" t="s">
        <v>6</v>
      </c>
    </row>
    <row r="6" spans="2:6" ht="15">
      <c r="B6" s="7"/>
      <c r="C6" s="9"/>
      <c r="D6" s="9"/>
      <c r="E6" s="9"/>
      <c r="F6" s="9"/>
    </row>
    <row r="7" spans="2:6" ht="12.75">
      <c r="B7" s="3" t="s">
        <v>53</v>
      </c>
      <c r="C7" s="10"/>
      <c r="D7" s="10"/>
      <c r="E7" s="10"/>
      <c r="F7" s="10"/>
    </row>
    <row r="8" spans="2:6" ht="12.75">
      <c r="B8" s="30" t="s">
        <v>64</v>
      </c>
      <c r="C8" s="26">
        <v>83.38728</v>
      </c>
      <c r="D8" s="26"/>
      <c r="E8" s="26"/>
      <c r="F8" s="27">
        <f aca="true" t="shared" si="0" ref="F8:F27">SUM(C8:E8)</f>
        <v>83.38728</v>
      </c>
    </row>
    <row r="9" spans="2:6" ht="12.75">
      <c r="B9" s="30" t="s">
        <v>73</v>
      </c>
      <c r="C9" s="26">
        <v>65.564364</v>
      </c>
      <c r="D9" s="26"/>
      <c r="E9" s="26"/>
      <c r="F9" s="27">
        <f t="shared" si="0"/>
        <v>65.564364</v>
      </c>
    </row>
    <row r="10" spans="2:6" ht="12.75">
      <c r="B10" s="30" t="s">
        <v>106</v>
      </c>
      <c r="C10" s="26">
        <v>451.74</v>
      </c>
      <c r="D10" s="26"/>
      <c r="E10" s="26"/>
      <c r="F10" s="27">
        <f t="shared" si="0"/>
        <v>451.74</v>
      </c>
    </row>
    <row r="11" spans="2:6" ht="12.75">
      <c r="B11" s="30" t="s">
        <v>135</v>
      </c>
      <c r="C11" s="26">
        <v>100.82218666666667</v>
      </c>
      <c r="D11" s="26"/>
      <c r="E11" s="26"/>
      <c r="F11" s="27">
        <f t="shared" si="0"/>
        <v>100.82218666666667</v>
      </c>
    </row>
    <row r="12" spans="2:6" ht="12.75">
      <c r="B12" s="30" t="s">
        <v>104</v>
      </c>
      <c r="C12" s="26">
        <v>136.30169999999998</v>
      </c>
      <c r="D12" s="26"/>
      <c r="E12" s="26"/>
      <c r="F12" s="27">
        <f t="shared" si="0"/>
        <v>136.30169999999998</v>
      </c>
    </row>
    <row r="13" spans="2:6" ht="12.75">
      <c r="B13" s="30" t="s">
        <v>66</v>
      </c>
      <c r="C13" s="26">
        <v>95.7934296</v>
      </c>
      <c r="D13" s="26"/>
      <c r="E13" s="26"/>
      <c r="F13" s="27">
        <f t="shared" si="0"/>
        <v>95.7934296</v>
      </c>
    </row>
    <row r="14" spans="2:6" ht="12.75">
      <c r="B14" s="30" t="s">
        <v>103</v>
      </c>
      <c r="C14" s="26">
        <v>51.56075520000001</v>
      </c>
      <c r="D14" s="26"/>
      <c r="E14" s="26"/>
      <c r="F14" s="27">
        <f t="shared" si="0"/>
        <v>51.56075520000001</v>
      </c>
    </row>
    <row r="15" spans="2:6" ht="12.75">
      <c r="B15" s="30" t="s">
        <v>67</v>
      </c>
      <c r="C15" s="26">
        <v>9.33</v>
      </c>
      <c r="D15" s="26"/>
      <c r="E15" s="26"/>
      <c r="F15" s="27">
        <f t="shared" si="0"/>
        <v>9.33</v>
      </c>
    </row>
    <row r="16" spans="2:6" ht="12.75">
      <c r="B16" s="30" t="s">
        <v>92</v>
      </c>
      <c r="C16" s="26">
        <v>56.2854</v>
      </c>
      <c r="D16" s="26"/>
      <c r="E16" s="26"/>
      <c r="F16" s="27">
        <f t="shared" si="0"/>
        <v>56.2854</v>
      </c>
    </row>
    <row r="17" spans="2:6" ht="12.75">
      <c r="B17" s="30" t="s">
        <v>77</v>
      </c>
      <c r="C17" s="26">
        <v>288.9117</v>
      </c>
      <c r="D17" s="26"/>
      <c r="E17" s="26"/>
      <c r="F17" s="27">
        <f t="shared" si="0"/>
        <v>288.9117</v>
      </c>
    </row>
    <row r="18" spans="2:6" ht="12.75">
      <c r="B18" s="30" t="s">
        <v>80</v>
      </c>
      <c r="C18" s="26">
        <v>278.44259999999997</v>
      </c>
      <c r="D18" s="26"/>
      <c r="E18" s="26"/>
      <c r="F18" s="27">
        <f t="shared" si="0"/>
        <v>278.44259999999997</v>
      </c>
    </row>
    <row r="19" spans="2:6" ht="12.75">
      <c r="B19" s="30" t="s">
        <v>115</v>
      </c>
      <c r="C19" s="26">
        <v>142.7382</v>
      </c>
      <c r="D19" s="26"/>
      <c r="E19" s="26"/>
      <c r="F19" s="27">
        <f t="shared" si="0"/>
        <v>142.7382</v>
      </c>
    </row>
    <row r="20" spans="2:6" ht="12.75">
      <c r="B20" s="30" t="s">
        <v>93</v>
      </c>
      <c r="C20" s="26">
        <v>56.2854</v>
      </c>
      <c r="D20" s="26"/>
      <c r="E20" s="26"/>
      <c r="F20" s="27">
        <f t="shared" si="0"/>
        <v>56.2854</v>
      </c>
    </row>
    <row r="21" spans="2:6" ht="12.75">
      <c r="B21" s="30" t="s">
        <v>94</v>
      </c>
      <c r="C21" s="26">
        <v>56.2854</v>
      </c>
      <c r="D21" s="26"/>
      <c r="E21" s="26"/>
      <c r="F21" s="27">
        <f t="shared" si="0"/>
        <v>56.2854</v>
      </c>
    </row>
    <row r="22" spans="2:6" ht="12.75">
      <c r="B22" s="30" t="s">
        <v>136</v>
      </c>
      <c r="C22" s="26">
        <v>51.50221333333333</v>
      </c>
      <c r="D22" s="26"/>
      <c r="E22" s="26"/>
      <c r="F22" s="27">
        <f t="shared" si="0"/>
        <v>51.50221333333333</v>
      </c>
    </row>
    <row r="23" spans="2:6" ht="12.75">
      <c r="B23" s="30" t="s">
        <v>34</v>
      </c>
      <c r="C23" s="26">
        <v>54.007799999999996</v>
      </c>
      <c r="D23" s="26"/>
      <c r="E23" s="26"/>
      <c r="F23" s="27">
        <f t="shared" si="0"/>
        <v>54.007799999999996</v>
      </c>
    </row>
    <row r="24" spans="2:6" ht="12.75">
      <c r="B24" s="30" t="s">
        <v>68</v>
      </c>
      <c r="C24" s="26">
        <v>217.1925</v>
      </c>
      <c r="D24" s="26"/>
      <c r="E24" s="26"/>
      <c r="F24" s="27">
        <f t="shared" si="0"/>
        <v>217.1925</v>
      </c>
    </row>
    <row r="25" spans="2:6" ht="12.75">
      <c r="B25" s="30" t="s">
        <v>69</v>
      </c>
      <c r="C25" s="26">
        <v>54.007799999999996</v>
      </c>
      <c r="D25" s="26"/>
      <c r="E25" s="26"/>
      <c r="F25" s="27">
        <f t="shared" si="0"/>
        <v>54.007799999999996</v>
      </c>
    </row>
    <row r="26" spans="2:6" ht="12.75">
      <c r="B26" s="30" t="s">
        <v>121</v>
      </c>
      <c r="C26" s="26">
        <v>335.35427999999996</v>
      </c>
      <c r="D26" s="26"/>
      <c r="E26" s="26"/>
      <c r="F26" s="27">
        <f t="shared" si="0"/>
        <v>335.35427999999996</v>
      </c>
    </row>
    <row r="27" spans="2:6" ht="12.75">
      <c r="B27" s="30" t="s">
        <v>107</v>
      </c>
      <c r="C27" s="26">
        <v>218.3484</v>
      </c>
      <c r="D27" s="26"/>
      <c r="E27" s="26"/>
      <c r="F27" s="27">
        <f t="shared" si="0"/>
        <v>218.3484</v>
      </c>
    </row>
    <row r="28" spans="2:6" ht="12.75">
      <c r="B28" s="20"/>
      <c r="C28" s="26"/>
      <c r="D28" s="26"/>
      <c r="E28" s="26"/>
      <c r="F28" s="27"/>
    </row>
    <row r="29" spans="2:6" ht="12.75">
      <c r="B29" s="20"/>
      <c r="C29" s="26"/>
      <c r="D29" s="26"/>
      <c r="E29" s="26"/>
      <c r="F29" s="27"/>
    </row>
    <row r="30" spans="2:6" ht="12.75">
      <c r="B30" s="3" t="s">
        <v>43</v>
      </c>
      <c r="C30" s="14">
        <f>SUM(C8:C29)</f>
        <v>2803.8614087999995</v>
      </c>
      <c r="D30" s="14">
        <f>SUM(D8:D29)</f>
        <v>0</v>
      </c>
      <c r="E30" s="14">
        <f>SUM(E8:E29)</f>
        <v>0</v>
      </c>
      <c r="F30" s="14">
        <f>SUM(C30:E30)</f>
        <v>2803.8614087999995</v>
      </c>
    </row>
    <row r="31" spans="2:6" ht="12.75">
      <c r="B31" s="3"/>
      <c r="C31" s="26"/>
      <c r="D31" s="26"/>
      <c r="E31" s="26"/>
      <c r="F31" s="27"/>
    </row>
    <row r="32" spans="2:6" ht="12.75">
      <c r="B32" s="3" t="s">
        <v>54</v>
      </c>
      <c r="C32" s="26"/>
      <c r="D32" s="26"/>
      <c r="E32" s="26"/>
      <c r="F32" s="27"/>
    </row>
    <row r="33" spans="2:6" ht="12.75">
      <c r="B33" s="12" t="s">
        <v>137</v>
      </c>
      <c r="C33" s="26">
        <v>47.312664398219994</v>
      </c>
      <c r="D33" s="26"/>
      <c r="E33" s="26"/>
      <c r="F33" s="27">
        <f aca="true" t="shared" si="1" ref="F33:F84">SUM(C33:E33)</f>
        <v>47.312664398219994</v>
      </c>
    </row>
    <row r="34" spans="2:6" ht="12.75">
      <c r="B34" s="12" t="s">
        <v>101</v>
      </c>
      <c r="C34" s="26">
        <v>204.2209368</v>
      </c>
      <c r="D34" s="26"/>
      <c r="E34" s="26"/>
      <c r="F34" s="27">
        <f t="shared" si="1"/>
        <v>204.2209368</v>
      </c>
    </row>
    <row r="35" spans="2:6" ht="12.75">
      <c r="B35" s="12" t="s">
        <v>108</v>
      </c>
      <c r="C35" s="26">
        <v>179.77503600000006</v>
      </c>
      <c r="D35" s="26"/>
      <c r="E35" s="26"/>
      <c r="F35" s="27">
        <f t="shared" si="1"/>
        <v>179.77503600000006</v>
      </c>
    </row>
    <row r="36" spans="2:6" ht="12.75">
      <c r="B36" s="12" t="s">
        <v>102</v>
      </c>
      <c r="C36" s="26">
        <v>198.62649120000003</v>
      </c>
      <c r="D36" s="26"/>
      <c r="E36" s="26"/>
      <c r="F36" s="27">
        <f t="shared" si="1"/>
        <v>198.62649120000003</v>
      </c>
    </row>
    <row r="37" spans="2:6" ht="12.75">
      <c r="B37" s="12" t="s">
        <v>95</v>
      </c>
      <c r="C37" s="26">
        <v>174.3845856</v>
      </c>
      <c r="D37" s="26"/>
      <c r="E37" s="26"/>
      <c r="F37" s="27">
        <f t="shared" si="1"/>
        <v>174.3845856</v>
      </c>
    </row>
    <row r="38" spans="2:6" ht="12.75">
      <c r="B38" s="12" t="s">
        <v>138</v>
      </c>
      <c r="C38" s="26">
        <v>123.95698016</v>
      </c>
      <c r="D38" s="26"/>
      <c r="E38" s="26"/>
      <c r="F38" s="27">
        <f t="shared" si="1"/>
        <v>123.95698016</v>
      </c>
    </row>
    <row r="39" spans="2:6" ht="12.75">
      <c r="B39" s="12" t="s">
        <v>122</v>
      </c>
      <c r="C39" s="26">
        <v>264.41123280000005</v>
      </c>
      <c r="D39" s="26"/>
      <c r="E39" s="26"/>
      <c r="F39" s="27">
        <f t="shared" si="1"/>
        <v>264.41123280000005</v>
      </c>
    </row>
    <row r="40" spans="2:6" ht="12.75">
      <c r="B40" s="12" t="s">
        <v>139</v>
      </c>
      <c r="C40" s="26">
        <v>450.36965098666667</v>
      </c>
      <c r="D40" s="26"/>
      <c r="E40" s="26"/>
      <c r="F40" s="27">
        <f t="shared" si="1"/>
        <v>450.36965098666667</v>
      </c>
    </row>
    <row r="41" spans="2:6" ht="12.75">
      <c r="B41" s="12" t="s">
        <v>123</v>
      </c>
      <c r="C41" s="26">
        <v>63.0424176</v>
      </c>
      <c r="D41" s="26"/>
      <c r="E41" s="26"/>
      <c r="F41" s="27">
        <f t="shared" si="1"/>
        <v>63.0424176</v>
      </c>
    </row>
    <row r="42" spans="2:6" ht="12.75">
      <c r="B42" s="12" t="s">
        <v>98</v>
      </c>
      <c r="C42" s="26">
        <v>58.426720800000005</v>
      </c>
      <c r="D42" s="26"/>
      <c r="E42" s="26"/>
      <c r="F42" s="27">
        <f t="shared" si="1"/>
        <v>58.426720800000005</v>
      </c>
    </row>
    <row r="43" spans="2:6" ht="12.75">
      <c r="B43" s="12" t="s">
        <v>140</v>
      </c>
      <c r="C43" s="26">
        <v>405.08983200000006</v>
      </c>
      <c r="D43" s="26"/>
      <c r="E43" s="26"/>
      <c r="F43" s="27">
        <f t="shared" si="1"/>
        <v>405.08983200000006</v>
      </c>
    </row>
    <row r="44" spans="2:6" ht="12.75">
      <c r="B44" s="12" t="s">
        <v>114</v>
      </c>
      <c r="C44" s="26">
        <v>235.60727040000003</v>
      </c>
      <c r="D44" s="26"/>
      <c r="E44" s="26"/>
      <c r="F44" s="27">
        <f t="shared" si="1"/>
        <v>235.60727040000003</v>
      </c>
    </row>
    <row r="45" spans="2:6" ht="12.75">
      <c r="B45" s="12" t="s">
        <v>116</v>
      </c>
      <c r="C45" s="26">
        <v>127.57507919999999</v>
      </c>
      <c r="D45" s="26"/>
      <c r="E45" s="26"/>
      <c r="F45" s="27">
        <f t="shared" si="1"/>
        <v>127.57507919999999</v>
      </c>
    </row>
    <row r="46" spans="2:6" ht="12.75">
      <c r="B46" s="12" t="s">
        <v>141</v>
      </c>
      <c r="C46" s="26">
        <v>96.998412</v>
      </c>
      <c r="D46" s="26"/>
      <c r="E46" s="26"/>
      <c r="F46" s="27">
        <f t="shared" si="1"/>
        <v>96.998412</v>
      </c>
    </row>
    <row r="47" spans="2:6" ht="12.75">
      <c r="B47" s="12" t="s">
        <v>109</v>
      </c>
      <c r="C47" s="26">
        <v>368.06643600000007</v>
      </c>
      <c r="D47" s="26"/>
      <c r="E47" s="26"/>
      <c r="F47" s="27">
        <f t="shared" si="1"/>
        <v>368.06643600000007</v>
      </c>
    </row>
    <row r="48" spans="2:6" ht="12.75">
      <c r="B48" s="32" t="s">
        <v>142</v>
      </c>
      <c r="C48" s="26">
        <v>78.5616451464</v>
      </c>
      <c r="D48" s="26"/>
      <c r="E48" s="26"/>
      <c r="F48" s="27">
        <f t="shared" si="1"/>
        <v>78.5616451464</v>
      </c>
    </row>
    <row r="49" spans="2:6" ht="12.75">
      <c r="B49" s="32" t="s">
        <v>124</v>
      </c>
      <c r="C49" s="26">
        <v>86.80925040000001</v>
      </c>
      <c r="D49" s="26"/>
      <c r="E49" s="26"/>
      <c r="F49" s="27">
        <f t="shared" si="1"/>
        <v>86.80925040000001</v>
      </c>
    </row>
    <row r="50" spans="2:6" ht="12.75">
      <c r="B50" s="32" t="s">
        <v>70</v>
      </c>
      <c r="C50" s="26">
        <v>10.208028</v>
      </c>
      <c r="D50" s="26"/>
      <c r="E50" s="26"/>
      <c r="F50" s="27">
        <f t="shared" si="1"/>
        <v>10.208028</v>
      </c>
    </row>
    <row r="51" spans="2:6" ht="12.75">
      <c r="B51" s="32" t="s">
        <v>125</v>
      </c>
      <c r="C51" s="26">
        <v>79.31519999999999</v>
      </c>
      <c r="D51" s="26"/>
      <c r="E51" s="26"/>
      <c r="F51" s="27">
        <f t="shared" si="1"/>
        <v>79.31519999999999</v>
      </c>
    </row>
    <row r="52" spans="2:6" ht="12.75">
      <c r="B52" s="32" t="s">
        <v>126</v>
      </c>
      <c r="C52" s="26">
        <v>107.45365200000002</v>
      </c>
      <c r="D52" s="26"/>
      <c r="E52" s="26"/>
      <c r="F52" s="27">
        <f t="shared" si="1"/>
        <v>107.45365200000002</v>
      </c>
    </row>
    <row r="53" spans="2:6" ht="12.75">
      <c r="B53" s="32" t="s">
        <v>127</v>
      </c>
      <c r="C53" s="26">
        <v>118.80463440000001</v>
      </c>
      <c r="D53" s="26"/>
      <c r="E53" s="26"/>
      <c r="F53" s="27">
        <f t="shared" si="1"/>
        <v>118.80463440000001</v>
      </c>
    </row>
    <row r="54" spans="2:6" ht="12.75">
      <c r="B54" s="32" t="s">
        <v>78</v>
      </c>
      <c r="C54" s="26">
        <v>11.4359112</v>
      </c>
      <c r="D54" s="26"/>
      <c r="E54" s="26"/>
      <c r="F54" s="27">
        <f t="shared" si="1"/>
        <v>11.4359112</v>
      </c>
    </row>
    <row r="55" spans="2:6" ht="12.75">
      <c r="B55" s="21" t="s">
        <v>143</v>
      </c>
      <c r="C55" s="26">
        <v>81.80007308159999</v>
      </c>
      <c r="D55" s="26"/>
      <c r="E55" s="26"/>
      <c r="F55" s="27">
        <f t="shared" si="1"/>
        <v>81.80007308159999</v>
      </c>
    </row>
    <row r="56" spans="2:6" ht="12.75">
      <c r="B56" s="21" t="s">
        <v>63</v>
      </c>
      <c r="C56" s="26">
        <v>47.78202480000001</v>
      </c>
      <c r="D56" s="26"/>
      <c r="E56" s="26"/>
      <c r="F56" s="27">
        <f t="shared" si="1"/>
        <v>47.78202480000001</v>
      </c>
    </row>
    <row r="57" spans="2:6" ht="12.75">
      <c r="B57" s="21" t="s">
        <v>96</v>
      </c>
      <c r="C57" s="26">
        <v>153.40390560000003</v>
      </c>
      <c r="D57" s="26"/>
      <c r="E57" s="26"/>
      <c r="F57" s="27">
        <f t="shared" si="1"/>
        <v>153.40390560000003</v>
      </c>
    </row>
    <row r="58" spans="2:6" ht="12.75">
      <c r="B58" s="12" t="s">
        <v>144</v>
      </c>
      <c r="C58" s="26">
        <v>18.02751984</v>
      </c>
      <c r="D58" s="26"/>
      <c r="E58" s="26"/>
      <c r="F58" s="27">
        <f t="shared" si="1"/>
        <v>18.02751984</v>
      </c>
    </row>
    <row r="59" spans="2:6" ht="12.75">
      <c r="B59" s="12" t="s">
        <v>110</v>
      </c>
      <c r="C59" s="26">
        <v>26.9945409</v>
      </c>
      <c r="D59" s="26"/>
      <c r="E59" s="26"/>
      <c r="F59" s="27">
        <f t="shared" si="1"/>
        <v>26.9945409</v>
      </c>
    </row>
    <row r="60" spans="2:6" ht="12.75">
      <c r="B60" s="12" t="s">
        <v>128</v>
      </c>
      <c r="C60" s="26">
        <v>488.6873856</v>
      </c>
      <c r="D60" s="26"/>
      <c r="E60" s="26"/>
      <c r="F60" s="27">
        <f t="shared" si="1"/>
        <v>488.6873856</v>
      </c>
    </row>
    <row r="61" spans="2:6" ht="12.75">
      <c r="B61" s="12" t="s">
        <v>111</v>
      </c>
      <c r="C61" s="26">
        <v>176.1854976</v>
      </c>
      <c r="D61" s="26"/>
      <c r="E61" s="26"/>
      <c r="F61" s="27">
        <f t="shared" si="1"/>
        <v>176.1854976</v>
      </c>
    </row>
    <row r="62" spans="2:6" ht="12.75">
      <c r="B62" s="12" t="s">
        <v>72</v>
      </c>
      <c r="C62" s="26">
        <v>133.24070160000002</v>
      </c>
      <c r="D62" s="26"/>
      <c r="E62" s="26"/>
      <c r="F62" s="27">
        <f t="shared" si="1"/>
        <v>133.24070160000002</v>
      </c>
    </row>
    <row r="63" spans="2:6" ht="12.75">
      <c r="B63" s="12" t="s">
        <v>112</v>
      </c>
      <c r="C63" s="26">
        <v>151.0137384</v>
      </c>
      <c r="D63" s="26"/>
      <c r="E63" s="26"/>
      <c r="F63" s="27">
        <f t="shared" si="1"/>
        <v>151.0137384</v>
      </c>
    </row>
    <row r="64" spans="2:6" ht="12.75">
      <c r="B64" s="12" t="s">
        <v>129</v>
      </c>
      <c r="C64" s="26">
        <v>24.164626799999997</v>
      </c>
      <c r="D64" s="26"/>
      <c r="E64" s="26"/>
      <c r="F64" s="27">
        <f t="shared" si="1"/>
        <v>24.164626799999997</v>
      </c>
    </row>
    <row r="65" spans="2:6" ht="12.75">
      <c r="B65" s="12" t="s">
        <v>145</v>
      </c>
      <c r="C65" s="26">
        <v>32.17546666666667</v>
      </c>
      <c r="D65" s="26"/>
      <c r="E65" s="26"/>
      <c r="F65" s="27">
        <f t="shared" si="1"/>
        <v>32.17546666666667</v>
      </c>
    </row>
    <row r="66" spans="2:6" ht="12.75">
      <c r="B66" s="12" t="s">
        <v>113</v>
      </c>
      <c r="C66" s="26">
        <v>24.164626799999997</v>
      </c>
      <c r="D66" s="26"/>
      <c r="E66" s="26"/>
      <c r="F66" s="27">
        <f t="shared" si="1"/>
        <v>24.164626799999997</v>
      </c>
    </row>
    <row r="67" spans="2:6" ht="12.75">
      <c r="B67" s="12" t="s">
        <v>130</v>
      </c>
      <c r="C67" s="26">
        <v>24.164626799999997</v>
      </c>
      <c r="D67" s="26"/>
      <c r="E67" s="26"/>
      <c r="F67" s="27">
        <f t="shared" si="1"/>
        <v>24.164626799999997</v>
      </c>
    </row>
    <row r="68" spans="2:6" ht="12.75">
      <c r="B68" s="12" t="s">
        <v>71</v>
      </c>
      <c r="C68" s="26">
        <v>25.630627800000003</v>
      </c>
      <c r="D68" s="26"/>
      <c r="E68" s="26"/>
      <c r="F68" s="27">
        <f t="shared" si="1"/>
        <v>25.630627800000003</v>
      </c>
    </row>
    <row r="69" spans="2:6" ht="12.75">
      <c r="B69" s="12" t="s">
        <v>146</v>
      </c>
      <c r="C69" s="26">
        <v>8.564096666666668</v>
      </c>
      <c r="D69" s="26"/>
      <c r="E69" s="26"/>
      <c r="F69" s="27">
        <f t="shared" si="1"/>
        <v>8.564096666666668</v>
      </c>
    </row>
    <row r="70" spans="2:6" ht="12.75">
      <c r="B70" s="12" t="s">
        <v>131</v>
      </c>
      <c r="C70" s="26">
        <v>25.630627800000003</v>
      </c>
      <c r="D70" s="26"/>
      <c r="E70" s="26"/>
      <c r="F70" s="27">
        <f t="shared" si="1"/>
        <v>25.630627800000003</v>
      </c>
    </row>
    <row r="71" spans="2:6" ht="12.75">
      <c r="B71" s="12" t="s">
        <v>71</v>
      </c>
      <c r="C71" s="26">
        <v>25.630627800000003</v>
      </c>
      <c r="D71" s="26"/>
      <c r="E71" s="26"/>
      <c r="F71" s="27">
        <f t="shared" si="1"/>
        <v>25.630627800000003</v>
      </c>
    </row>
    <row r="72" spans="2:6" ht="12.75">
      <c r="B72" s="12" t="s">
        <v>132</v>
      </c>
      <c r="C72" s="26">
        <v>211.82203661704472</v>
      </c>
      <c r="D72" s="26"/>
      <c r="E72" s="26"/>
      <c r="F72" s="27">
        <f t="shared" si="1"/>
        <v>211.82203661704472</v>
      </c>
    </row>
    <row r="73" spans="2:6" ht="12.75">
      <c r="B73" s="12" t="s">
        <v>81</v>
      </c>
      <c r="C73" s="26">
        <v>161.46922607999997</v>
      </c>
      <c r="D73" s="26"/>
      <c r="E73" s="26"/>
      <c r="F73" s="27">
        <f t="shared" si="1"/>
        <v>161.46922607999997</v>
      </c>
    </row>
    <row r="74" spans="2:6" ht="12.75">
      <c r="B74" s="12" t="s">
        <v>65</v>
      </c>
      <c r="C74" s="26">
        <v>142.0794468</v>
      </c>
      <c r="D74" s="26"/>
      <c r="E74" s="26"/>
      <c r="F74" s="27">
        <f t="shared" si="1"/>
        <v>142.0794468</v>
      </c>
    </row>
    <row r="75" spans="2:6" ht="12.75">
      <c r="B75" s="12" t="s">
        <v>74</v>
      </c>
      <c r="C75" s="26">
        <v>81.2232468</v>
      </c>
      <c r="D75" s="26"/>
      <c r="E75" s="26"/>
      <c r="F75" s="27">
        <f t="shared" si="1"/>
        <v>81.2232468</v>
      </c>
    </row>
    <row r="76" spans="2:6" ht="12.75">
      <c r="B76" s="12" t="s">
        <v>147</v>
      </c>
      <c r="C76" s="26">
        <v>474.86224799999997</v>
      </c>
      <c r="D76" s="26"/>
      <c r="E76" s="26"/>
      <c r="F76" s="27">
        <f t="shared" si="1"/>
        <v>474.86224799999997</v>
      </c>
    </row>
    <row r="77" spans="2:6" ht="12.75">
      <c r="B77" s="12" t="s">
        <v>133</v>
      </c>
      <c r="C77" s="26">
        <v>138.4488672</v>
      </c>
      <c r="D77" s="26"/>
      <c r="E77" s="26"/>
      <c r="F77" s="27">
        <f t="shared" si="1"/>
        <v>138.4488672</v>
      </c>
    </row>
    <row r="78" spans="2:6" ht="12.75">
      <c r="B78" s="12" t="s">
        <v>134</v>
      </c>
      <c r="C78" s="26">
        <v>84.7046328</v>
      </c>
      <c r="D78" s="26"/>
      <c r="E78" s="26"/>
      <c r="F78" s="27">
        <f t="shared" si="1"/>
        <v>84.7046328</v>
      </c>
    </row>
    <row r="79" spans="2:6" ht="12.75">
      <c r="B79" s="12" t="s">
        <v>148</v>
      </c>
      <c r="C79" s="26">
        <v>46.399254</v>
      </c>
      <c r="D79" s="26"/>
      <c r="E79" s="26"/>
      <c r="F79" s="27">
        <f t="shared" si="1"/>
        <v>46.399254</v>
      </c>
    </row>
    <row r="80" spans="2:6" ht="12.75">
      <c r="B80" s="12" t="s">
        <v>149</v>
      </c>
      <c r="C80" s="26">
        <v>15.3637851</v>
      </c>
      <c r="D80" s="26"/>
      <c r="E80" s="26"/>
      <c r="F80" s="27">
        <f t="shared" si="1"/>
        <v>15.3637851</v>
      </c>
    </row>
    <row r="81" spans="2:6" ht="12.75">
      <c r="B81" s="12" t="s">
        <v>150</v>
      </c>
      <c r="C81" s="26">
        <v>17.044668333333334</v>
      </c>
      <c r="D81" s="26"/>
      <c r="E81" s="26"/>
      <c r="F81" s="27">
        <f t="shared" si="1"/>
        <v>17.044668333333334</v>
      </c>
    </row>
    <row r="82" spans="2:6" ht="12.75">
      <c r="B82" s="12" t="s">
        <v>151</v>
      </c>
      <c r="C82" s="26">
        <v>151.30636774400003</v>
      </c>
      <c r="D82" s="26"/>
      <c r="E82" s="26"/>
      <c r="F82" s="27">
        <f t="shared" si="1"/>
        <v>151.30636774400003</v>
      </c>
    </row>
    <row r="83" spans="2:6" ht="12.75">
      <c r="B83" s="12" t="s">
        <v>79</v>
      </c>
      <c r="C83" s="26">
        <v>51.56585520000001</v>
      </c>
      <c r="D83" s="26"/>
      <c r="E83" s="26"/>
      <c r="F83" s="27">
        <f t="shared" si="1"/>
        <v>51.56585520000001</v>
      </c>
    </row>
    <row r="84" spans="2:6" ht="12.75">
      <c r="B84" s="12" t="s">
        <v>75</v>
      </c>
      <c r="C84" s="26">
        <v>125.3201088</v>
      </c>
      <c r="D84" s="26"/>
      <c r="E84" s="26"/>
      <c r="F84" s="27">
        <f t="shared" si="1"/>
        <v>125.3201088</v>
      </c>
    </row>
    <row r="85" spans="2:6" ht="12.75">
      <c r="B85" s="12"/>
      <c r="C85" s="26"/>
      <c r="D85" s="26"/>
      <c r="E85" s="26"/>
      <c r="F85" s="27"/>
    </row>
    <row r="86" spans="2:6" ht="12.75">
      <c r="B86" s="12"/>
      <c r="C86" s="26"/>
      <c r="D86" s="26"/>
      <c r="E86" s="26"/>
      <c r="F86" s="27"/>
    </row>
    <row r="87" spans="2:6" ht="12.75">
      <c r="B87" s="3" t="s">
        <v>44</v>
      </c>
      <c r="C87" s="14">
        <f>SUM(C33:C85)</f>
        <v>6659.322525120601</v>
      </c>
      <c r="D87" s="14">
        <f>SUM(D33:D58)</f>
        <v>0</v>
      </c>
      <c r="E87" s="14">
        <f>SUM(E33:E58)</f>
        <v>0</v>
      </c>
      <c r="F87" s="14">
        <f>SUM(C87:E87)</f>
        <v>6659.322525120601</v>
      </c>
    </row>
    <row r="88" spans="2:6" ht="12.75">
      <c r="B88" s="12"/>
      <c r="C88" s="26"/>
      <c r="D88" s="26"/>
      <c r="E88" s="26"/>
      <c r="F88" s="27"/>
    </row>
    <row r="89" spans="2:6" ht="12.75">
      <c r="B89" s="6" t="s">
        <v>28</v>
      </c>
      <c r="C89" s="14">
        <f>+C30+C87</f>
        <v>9463.183933920602</v>
      </c>
      <c r="D89" s="14">
        <f>+D30+D87</f>
        <v>0</v>
      </c>
      <c r="E89" s="14">
        <f>+E30+E87</f>
        <v>0</v>
      </c>
      <c r="F89" s="14">
        <f>SUM(C89:E89)</f>
        <v>9463.183933920602</v>
      </c>
    </row>
    <row r="90" spans="2:6" ht="12.75">
      <c r="B90" s="2"/>
      <c r="C90" s="26"/>
      <c r="D90" s="26"/>
      <c r="E90" s="26"/>
      <c r="F90" s="26"/>
    </row>
    <row r="91" spans="2:6" ht="12.75">
      <c r="B91" s="3" t="s">
        <v>24</v>
      </c>
      <c r="C91" s="26"/>
      <c r="D91" s="26"/>
      <c r="E91" s="26"/>
      <c r="F91" s="26"/>
    </row>
    <row r="92" spans="2:6" ht="12.75">
      <c r="B92" s="6" t="s">
        <v>4</v>
      </c>
      <c r="C92" s="26"/>
      <c r="D92" s="26"/>
      <c r="E92" s="26"/>
      <c r="F92" s="26"/>
    </row>
    <row r="93" spans="2:6" ht="12.75">
      <c r="B93" s="2"/>
      <c r="C93" s="26"/>
      <c r="D93" s="26"/>
      <c r="E93" s="26"/>
      <c r="F93" s="26"/>
    </row>
    <row r="94" spans="2:6" ht="12.75">
      <c r="B94" s="3" t="s">
        <v>55</v>
      </c>
      <c r="C94" s="26"/>
      <c r="D94" s="26"/>
      <c r="E94" s="26"/>
      <c r="F94" s="26"/>
    </row>
    <row r="95" spans="2:6" ht="12.75">
      <c r="B95" s="6" t="s">
        <v>13</v>
      </c>
      <c r="C95" s="26"/>
      <c r="D95" s="26"/>
      <c r="E95" s="26"/>
      <c r="F95" s="26"/>
    </row>
    <row r="96" spans="2:6" ht="12.75">
      <c r="B96" s="2"/>
      <c r="C96" s="26"/>
      <c r="D96" s="26"/>
      <c r="E96" s="26"/>
      <c r="F96" s="26"/>
    </row>
    <row r="97" spans="2:6" ht="12.75">
      <c r="B97" s="3" t="s">
        <v>14</v>
      </c>
      <c r="C97" s="26"/>
      <c r="D97" s="26"/>
      <c r="E97" s="26"/>
      <c r="F97" s="26"/>
    </row>
    <row r="98" spans="2:6" ht="12.75">
      <c r="B98" s="3" t="s">
        <v>25</v>
      </c>
      <c r="C98" s="26"/>
      <c r="D98" s="26"/>
      <c r="E98" s="26"/>
      <c r="F98" s="26"/>
    </row>
    <row r="99" spans="2:6" ht="12.75">
      <c r="B99" s="6" t="s">
        <v>26</v>
      </c>
      <c r="C99" s="26">
        <v>1810.489704837822</v>
      </c>
      <c r="D99" s="26">
        <v>0</v>
      </c>
      <c r="E99" s="26">
        <v>0</v>
      </c>
      <c r="F99" s="27">
        <f>SUM(C99:E99)</f>
        <v>1810.489704837822</v>
      </c>
    </row>
    <row r="100" spans="2:6" ht="12.75">
      <c r="B100" s="3" t="s">
        <v>56</v>
      </c>
      <c r="C100" s="14">
        <f>SUM(C98:C99)</f>
        <v>1810.489704837822</v>
      </c>
      <c r="D100" s="14">
        <f>SUM(D99)</f>
        <v>0</v>
      </c>
      <c r="E100" s="14">
        <f>SUM(E99)</f>
        <v>0</v>
      </c>
      <c r="F100" s="14">
        <f>SUM(C100:E100)</f>
        <v>1810.489704837822</v>
      </c>
    </row>
    <row r="101" spans="2:6" ht="12.75">
      <c r="B101" s="6"/>
      <c r="C101" s="26"/>
      <c r="D101" s="26"/>
      <c r="E101" s="26"/>
      <c r="F101" s="26"/>
    </row>
    <row r="102" spans="2:6" ht="12.75">
      <c r="B102" s="6" t="s">
        <v>57</v>
      </c>
      <c r="C102" s="26"/>
      <c r="D102" s="26"/>
      <c r="E102" s="26"/>
      <c r="F102" s="26"/>
    </row>
    <row r="103" spans="2:6" ht="12.75">
      <c r="B103" s="6" t="s">
        <v>58</v>
      </c>
      <c r="C103" s="26">
        <v>39.525672200331606</v>
      </c>
      <c r="D103" s="26">
        <v>12.755609234816976</v>
      </c>
      <c r="E103" s="26">
        <v>0</v>
      </c>
      <c r="F103" s="26">
        <f>SUM(C103:E103)</f>
        <v>52.281281435148586</v>
      </c>
    </row>
    <row r="104" spans="2:6" ht="12.75">
      <c r="B104" s="6" t="s">
        <v>59</v>
      </c>
      <c r="C104" s="26">
        <v>968.0323744653671</v>
      </c>
      <c r="D104" s="26">
        <v>0</v>
      </c>
      <c r="E104" s="26">
        <v>0</v>
      </c>
      <c r="F104" s="26">
        <f>SUM(C104:E104)</f>
        <v>968.0323744653671</v>
      </c>
    </row>
    <row r="105" spans="2:6" ht="12.75">
      <c r="B105" s="6" t="s">
        <v>60</v>
      </c>
      <c r="C105" s="14">
        <f>SUM(C103:C104)</f>
        <v>1007.5580466656987</v>
      </c>
      <c r="D105" s="14">
        <f>SUM(D103:D104)</f>
        <v>12.755609234816976</v>
      </c>
      <c r="E105" s="14">
        <f>SUM(E103:E104)</f>
        <v>0</v>
      </c>
      <c r="F105" s="14">
        <f>SUM(C105:E105)</f>
        <v>1020.3136559005158</v>
      </c>
    </row>
    <row r="106" spans="2:6" ht="12.75">
      <c r="B106" s="6"/>
      <c r="C106" s="14"/>
      <c r="D106" s="14"/>
      <c r="E106" s="14"/>
      <c r="F106" s="14"/>
    </row>
    <row r="107" spans="2:6" ht="12.75">
      <c r="B107" s="6" t="s">
        <v>15</v>
      </c>
      <c r="C107" s="14">
        <f>+C105+C89+C100</f>
        <v>12281.231685424123</v>
      </c>
      <c r="D107" s="14">
        <f>+D105+D89+D100</f>
        <v>12.755609234816976</v>
      </c>
      <c r="E107" s="14">
        <f>+E105+E89+E100</f>
        <v>0</v>
      </c>
      <c r="F107" s="14">
        <f>+F105+F100+F89</f>
        <v>12293.987294658938</v>
      </c>
    </row>
    <row r="108" spans="2:6" ht="12.75">
      <c r="B108" s="3"/>
      <c r="C108" s="10"/>
      <c r="D108" s="10"/>
      <c r="E108" s="10"/>
      <c r="F108" s="10"/>
    </row>
    <row r="109" spans="2:6" ht="12.75">
      <c r="B109" s="3" t="s">
        <v>35</v>
      </c>
      <c r="C109" s="14">
        <f>'נספח 1'!C39</f>
        <v>6289122</v>
      </c>
      <c r="D109" s="14">
        <f>'נספח 1'!D39</f>
        <v>133631</v>
      </c>
      <c r="E109" s="14">
        <f>'נספח 1'!E39</f>
        <v>975</v>
      </c>
      <c r="F109" s="14">
        <f>SUM(C109:E109)</f>
        <v>6423728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2018-11-08T09:36:46Z</cp:lastPrinted>
  <dcterms:created xsi:type="dcterms:W3CDTF">2008-07-07T10:52:30Z</dcterms:created>
  <dcterms:modified xsi:type="dcterms:W3CDTF">2022-11-15T09:46:13Z</dcterms:modified>
  <cp:category/>
  <cp:version/>
  <cp:contentType/>
  <cp:contentStatus/>
</cp:coreProperties>
</file>